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10320"/>
  </bookViews>
  <sheets>
    <sheet name="IV-14" sheetId="1" r:id="rId1"/>
  </sheets>
  <definedNames>
    <definedName name="_xlnm.Print_Area" localSheetId="0">'IV-14'!$A$1:$J$53</definedName>
  </definedNames>
  <calcPr calcId="145621"/>
</workbook>
</file>

<file path=xl/calcChain.xml><?xml version="1.0" encoding="utf-8"?>
<calcChain xmlns="http://schemas.openxmlformats.org/spreadsheetml/2006/main">
  <c r="E49" i="1" l="1"/>
  <c r="I47" i="1"/>
  <c r="J47" i="1" s="1"/>
  <c r="C47" i="1"/>
  <c r="I46" i="1"/>
  <c r="C46" i="1"/>
  <c r="J46" i="1" s="1"/>
  <c r="J45" i="1"/>
  <c r="I44" i="1"/>
  <c r="C44" i="1"/>
  <c r="J44" i="1" s="1"/>
  <c r="C43" i="1"/>
  <c r="J43" i="1" s="1"/>
  <c r="I42" i="1"/>
  <c r="J42" i="1" s="1"/>
  <c r="C42" i="1"/>
  <c r="J41" i="1"/>
  <c r="C41" i="1"/>
  <c r="J40" i="1"/>
  <c r="C40" i="1"/>
  <c r="J39" i="1"/>
  <c r="I39" i="1"/>
  <c r="C39" i="1"/>
  <c r="I38" i="1"/>
  <c r="C38" i="1"/>
  <c r="J38" i="1" s="1"/>
  <c r="G37" i="1"/>
  <c r="D37" i="1"/>
  <c r="J37" i="1" s="1"/>
  <c r="C37" i="1"/>
  <c r="I36" i="1"/>
  <c r="C36" i="1"/>
  <c r="J36" i="1" s="1"/>
  <c r="I35" i="1"/>
  <c r="J35" i="1" s="1"/>
  <c r="C35" i="1"/>
  <c r="J34" i="1"/>
  <c r="C34" i="1"/>
  <c r="I33" i="1"/>
  <c r="D33" i="1"/>
  <c r="J33" i="1" s="1"/>
  <c r="C33" i="1"/>
  <c r="I32" i="1"/>
  <c r="C32" i="1"/>
  <c r="J32" i="1" s="1"/>
  <c r="I31" i="1"/>
  <c r="J31" i="1" s="1"/>
  <c r="C31" i="1"/>
  <c r="J30" i="1"/>
  <c r="C30" i="1"/>
  <c r="J29" i="1"/>
  <c r="I28" i="1"/>
  <c r="C28" i="1"/>
  <c r="J28" i="1" s="1"/>
  <c r="J27" i="1"/>
  <c r="C27" i="1"/>
  <c r="J26" i="1"/>
  <c r="I26" i="1"/>
  <c r="C26" i="1"/>
  <c r="C25" i="1"/>
  <c r="J25" i="1" s="1"/>
  <c r="C24" i="1"/>
  <c r="J24" i="1" s="1"/>
  <c r="H23" i="1"/>
  <c r="C23" i="1"/>
  <c r="J23" i="1" s="1"/>
  <c r="H22" i="1"/>
  <c r="H49" i="1" s="1"/>
  <c r="C22" i="1"/>
  <c r="J22" i="1" s="1"/>
  <c r="I21" i="1"/>
  <c r="J21" i="1" s="1"/>
  <c r="C21" i="1"/>
  <c r="J20" i="1"/>
  <c r="G20" i="1"/>
  <c r="C20" i="1"/>
  <c r="I19" i="1"/>
  <c r="F19" i="1"/>
  <c r="F49" i="1" s="1"/>
  <c r="C19" i="1"/>
  <c r="J19" i="1" s="1"/>
  <c r="I18" i="1"/>
  <c r="C18" i="1"/>
  <c r="J18" i="1" s="1"/>
  <c r="I17" i="1"/>
  <c r="C17" i="1"/>
  <c r="J17" i="1" s="1"/>
  <c r="I16" i="1"/>
  <c r="J16" i="1" s="1"/>
  <c r="C16" i="1"/>
  <c r="J15" i="1"/>
  <c r="I15" i="1"/>
  <c r="C15" i="1"/>
  <c r="I14" i="1"/>
  <c r="D14" i="1"/>
  <c r="C14" i="1"/>
  <c r="J14" i="1" s="1"/>
  <c r="G13" i="1"/>
  <c r="C13" i="1"/>
  <c r="J13" i="1" s="1"/>
  <c r="G12" i="1"/>
  <c r="G49" i="1" s="1"/>
  <c r="C12" i="1"/>
  <c r="J12" i="1" s="1"/>
  <c r="I11" i="1"/>
  <c r="D11" i="1"/>
  <c r="D49" i="1" s="1"/>
  <c r="C11" i="1"/>
  <c r="J11" i="1" s="1"/>
  <c r="I10" i="1"/>
  <c r="C10" i="1"/>
  <c r="J10" i="1" s="1"/>
  <c r="J9" i="1"/>
  <c r="I9" i="1"/>
  <c r="I49" i="1" s="1"/>
  <c r="C9" i="1"/>
  <c r="C49" i="1" s="1"/>
  <c r="J49" i="1" l="1"/>
</calcChain>
</file>

<file path=xl/sharedStrings.xml><?xml version="1.0" encoding="utf-8"?>
<sst xmlns="http://schemas.openxmlformats.org/spreadsheetml/2006/main" count="69" uniqueCount="60">
  <si>
    <t>Illinois Community College Board</t>
  </si>
  <si>
    <t>Table IV-14</t>
  </si>
  <si>
    <t>FISCAL YEAR 2016 TOTAL CURRENT FUNDS* REVENUE BY SOURCE</t>
  </si>
  <si>
    <t>Local</t>
  </si>
  <si>
    <t>Other</t>
  </si>
  <si>
    <t>Dist.</t>
  </si>
  <si>
    <t>Tax</t>
  </si>
  <si>
    <t>ICCB</t>
  </si>
  <si>
    <t>State</t>
  </si>
  <si>
    <t>Federal</t>
  </si>
  <si>
    <t>Misc.</t>
  </si>
  <si>
    <t>No.</t>
  </si>
  <si>
    <t>District</t>
  </si>
  <si>
    <t>Revenue</t>
  </si>
  <si>
    <t>Grants</t>
  </si>
  <si>
    <t>Tuition and Fees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</si>
  <si>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</si>
  <si>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</si>
  <si>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</si>
  <si>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</si>
  <si>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</si>
  <si>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</si>
  <si>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</si>
  <si>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</si>
  <si>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</si>
  <si>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</si>
  <si>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</si>
  <si>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</si>
  <si>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</si>
  <si>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</si>
  <si>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</si>
  <si>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</si>
  <si>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</si>
  <si>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</si>
  <si>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</si>
  <si>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</si>
  <si>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</si>
  <si>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</si>
  <si>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</si>
  <si>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</si>
  <si>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</si>
  <si>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</si>
  <si>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</si>
  <si>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</si>
  <si>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</si>
  <si>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</si>
  <si>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</si>
  <si>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</si>
  <si>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</si>
  <si>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</si>
  <si>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</si>
  <si>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</si>
  <si>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</si>
  <si>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</si>
  <si>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</si>
  <si>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</si>
  <si>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</si>
  <si>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</si>
  <si>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*Revenues received in the Education, Operation and Maintenance (including PBC), Restricted Purposes, Auxiliary Services, Liability/Protection/Settlement and Audit Funds</t>
  </si>
  <si>
    <t>SOURCE OF DATA:  College Audits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</si>
</sst>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[$$-409]\ #,##0.00"/>
    <numFmt numFmtId="166" formatCode="[$$-409]\ 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</borders>
  <cellStyleXfs count="45">
    <xf numFmtId="0" fontId="0" fillId="0" borderId="0"/>
    <xf numFmtId="0" fontId="1" fillId="0" borderId="0">
      <alignment vertical="top"/>
    </xf>
    <xf numFmtId="4" fontId="1" fillId="3" borderId="0" applyFont="0" applyFill="0" applyBorder="0" applyAlignment="0" applyProtection="0"/>
    <xf numFmtId="3" fontId="1" fillId="3" borderId="0" applyFont="0" applyFill="0" applyBorder="0" applyAlignment="0" applyProtection="0"/>
    <xf numFmtId="3" fontId="1" fillId="4" borderId="0"/>
    <xf numFmtId="3" fontId="1" fillId="0" borderId="0" applyFont="0" applyFill="0" applyBorder="0" applyAlignment="0" applyProtection="0"/>
    <xf numFmtId="3" fontId="1" fillId="0" borderId="0"/>
    <xf numFmtId="44" fontId="4" fillId="0" borderId="0" applyFont="0" applyFill="0" applyBorder="0" applyAlignment="0" applyProtection="0"/>
    <xf numFmtId="7" fontId="1" fillId="3" borderId="0" applyFont="0" applyFill="0" applyBorder="0" applyAlignment="0" applyProtection="0"/>
    <xf numFmtId="165" fontId="1" fillId="4" borderId="0"/>
    <xf numFmtId="166" fontId="1" fillId="4" borderId="0"/>
    <xf numFmtId="5" fontId="1" fillId="3" borderId="0" applyFont="0" applyFill="0" applyBorder="0" applyAlignment="0" applyProtection="0"/>
    <xf numFmtId="5" fontId="1" fillId="0" borderId="0" applyFont="0" applyFill="0" applyBorder="0" applyAlignment="0" applyProtection="0"/>
    <xf numFmtId="166" fontId="1" fillId="0" borderId="0"/>
    <xf numFmtId="0" fontId="1" fillId="3" borderId="0" applyFont="0" applyFill="0" applyBorder="0" applyAlignment="0" applyProtection="0"/>
    <xf numFmtId="0" fontId="1" fillId="4" borderId="0"/>
    <xf numFmtId="14" fontId="1" fillId="0" borderId="0" applyFont="0" applyFill="0" applyBorder="0" applyAlignment="0" applyProtection="0"/>
    <xf numFmtId="14" fontId="1" fillId="0" borderId="0"/>
    <xf numFmtId="2" fontId="1" fillId="3" borderId="0" applyFont="0" applyFill="0" applyBorder="0" applyAlignment="0" applyProtection="0"/>
    <xf numFmtId="2" fontId="1" fillId="4" borderId="0"/>
    <xf numFmtId="2" fontId="1" fillId="0" borderId="0" applyFont="0" applyFill="0" applyBorder="0" applyAlignment="0" applyProtection="0"/>
    <xf numFmtId="2" fontId="1" fillId="0" borderId="0"/>
    <xf numFmtId="0" fontId="5" fillId="3" borderId="0" applyFont="0" applyFill="0" applyBorder="0" applyAlignment="0" applyProtection="0"/>
    <xf numFmtId="0" fontId="5" fillId="4" borderId="0"/>
    <xf numFmtId="0" fontId="5" fillId="3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6" fillId="3" borderId="0" applyFont="0" applyFill="0" applyBorder="0" applyAlignment="0" applyProtection="0"/>
    <xf numFmtId="0" fontId="6" fillId="4" borderId="0"/>
    <xf numFmtId="0" fontId="6" fillId="3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1" fillId="0" borderId="0">
      <alignment vertical="top"/>
    </xf>
    <xf numFmtId="0" fontId="1" fillId="0" borderId="0"/>
    <xf numFmtId="0" fontId="1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5" borderId="0" applyNumberFormat="0" applyFont="0" applyBorder="0" applyAlignment="0" applyProtection="0"/>
    <xf numFmtId="0" fontId="1" fillId="3" borderId="0" applyFont="0" applyFill="0" applyBorder="0" applyAlignment="0" applyProtection="0"/>
    <xf numFmtId="0" fontId="1" fillId="4" borderId="2"/>
    <xf numFmtId="0" fontId="1" fillId="0" borderId="0" applyFont="0" applyFill="0" applyBorder="0" applyAlignment="0" applyProtection="0"/>
    <xf numFmtId="0" fontId="1" fillId="0" borderId="2"/>
  </cellStyleXfs>
  <cellXfs count="15">
    <xf numFmtId="0" fontId="0" fillId="0" borderId="0" xfId="0"/>
    <xf numFmtId="0" fontId="1" fillId="2" borderId="0" xfId="1" applyFont="1" applyFill="1" applyAlignment="1">
      <alignment horizontal="center"/>
    </xf>
    <xf numFmtId="0" fontId="2" fillId="0" borderId="0" xfId="0" applyFont="1" applyFill="1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right"/>
    </xf>
    <xf numFmtId="0" fontId="1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2" borderId="0" xfId="1" applyFont="1" applyFill="1" applyAlignment="1">
      <alignment horizontal="right"/>
    </xf>
    <xf numFmtId="0" fontId="1" fillId="2" borderId="0" xfId="1" applyFont="1" applyFill="1" applyAlignment="1"/>
    <xf numFmtId="5" fontId="1" fillId="2" borderId="0" xfId="1" applyNumberFormat="1" applyFont="1" applyFill="1" applyAlignment="1"/>
    <xf numFmtId="164" fontId="1" fillId="2" borderId="0" xfId="1" applyNumberFormat="1" applyFont="1" applyFill="1" applyAlignment="1"/>
    <xf numFmtId="0" fontId="3" fillId="2" borderId="0" xfId="1" applyFont="1" applyFill="1" applyAlignment="1"/>
    <xf numFmtId="5" fontId="3" fillId="2" borderId="0" xfId="1" applyNumberFormat="1" applyFont="1" applyFill="1" applyAlignment="1"/>
    <xf numFmtId="164" fontId="3" fillId="2" borderId="0" xfId="1" applyNumberFormat="1" applyFont="1" applyFill="1" applyAlignment="1"/>
    <xf numFmtId="0" fontId="1" fillId="2" borderId="0" xfId="1" applyFont="1" applyFill="1" applyAlignment="1">
      <alignment wrapText="1"/>
    </xf>
  </cellXfs>
  <cellStyles count="45">
    <cellStyle name="Comma 2" xfId="2"/>
    <cellStyle name="Comma0" xfId="3"/>
    <cellStyle name="Comma0 2" xfId="4"/>
    <cellStyle name="Comma0 3" xfId="5"/>
    <cellStyle name="Comma0 4" xfId="6"/>
    <cellStyle name="Currency 2" xfId="7"/>
    <cellStyle name="Currency 3" xfId="8"/>
    <cellStyle name="Currency 4" xfId="9"/>
    <cellStyle name="Currency0" xfId="10"/>
    <cellStyle name="Currency0 2" xfId="11"/>
    <cellStyle name="Currency0 3" xfId="12"/>
    <cellStyle name="Currency0 4" xfId="13"/>
    <cellStyle name="Date" xfId="14"/>
    <cellStyle name="Date 2" xfId="15"/>
    <cellStyle name="Date 3" xfId="16"/>
    <cellStyle name="Date 4" xfId="17"/>
    <cellStyle name="Fixed" xfId="18"/>
    <cellStyle name="Fixed 2" xfId="19"/>
    <cellStyle name="Fixed 3" xfId="20"/>
    <cellStyle name="Fixed 4" xfId="21"/>
    <cellStyle name="Heading 1 2" xfId="22"/>
    <cellStyle name="Heading 1 3" xfId="23"/>
    <cellStyle name="Heading 1 4" xfId="24"/>
    <cellStyle name="Heading 1 5" xfId="25"/>
    <cellStyle name="Heading 1 6" xfId="26"/>
    <cellStyle name="Heading 2 2" xfId="27"/>
    <cellStyle name="Heading 2 3" xfId="28"/>
    <cellStyle name="Heading 2 4" xfId="29"/>
    <cellStyle name="Heading 2 5" xfId="30"/>
    <cellStyle name="Heading 2 6" xfId="31"/>
    <cellStyle name="Normal" xfId="0" builtinId="0"/>
    <cellStyle name="Normal 2" xfId="32"/>
    <cellStyle name="Normal 3" xfId="33"/>
    <cellStyle name="Normal 4" xfId="1"/>
    <cellStyle name="Normal 5" xfId="34"/>
    <cellStyle name="PSChar" xfId="35"/>
    <cellStyle name="PSDate" xfId="36"/>
    <cellStyle name="PSDec" xfId="37"/>
    <cellStyle name="PSHeading" xfId="38"/>
    <cellStyle name="PSInt" xfId="39"/>
    <cellStyle name="PSSpacer" xfId="40"/>
    <cellStyle name="Total 2" xfId="41"/>
    <cellStyle name="Total 3" xfId="42"/>
    <cellStyle name="Total 4" xfId="43"/>
    <cellStyle name="Total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Normal="100" workbookViewId="0">
      <selection activeCell="L31" sqref="L31"/>
    </sheetView>
  </sheetViews>
  <sheetFormatPr defaultRowHeight="13.2" x14ac:dyDescent="0.25"/>
  <cols>
    <col min="1" max="1" width="6.21875" style="2" customWidth="1"/>
    <col min="2" max="2" width="13.88671875" style="2" customWidth="1"/>
    <col min="3" max="3" width="13.44140625" style="2" customWidth="1"/>
    <col min="4" max="4" width="12.33203125" style="2" customWidth="1"/>
    <col min="5" max="5" width="13.88671875" style="2" customWidth="1"/>
    <col min="6" max="6" width="12.44140625" style="2" customWidth="1"/>
    <col min="7" max="7" width="13.33203125" style="2" customWidth="1"/>
    <col min="8" max="8" width="15.77734375" style="2" customWidth="1"/>
    <col min="9" max="9" width="12.88671875" style="2" customWidth="1"/>
    <col min="10" max="10" width="14.44140625" style="2" customWidth="1"/>
    <col min="11" max="16384" width="8.88671875" style="2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3"/>
      <c r="B5" s="3"/>
      <c r="C5" s="4" t="s">
        <v>3</v>
      </c>
      <c r="D5" s="4" t="s">
        <v>4</v>
      </c>
      <c r="E5" s="4"/>
      <c r="F5" s="4" t="s">
        <v>4</v>
      </c>
      <c r="G5" s="4"/>
      <c r="H5" s="4"/>
      <c r="I5" s="4" t="s">
        <v>4</v>
      </c>
      <c r="J5" s="4"/>
    </row>
    <row r="6" spans="1:10" x14ac:dyDescent="0.25">
      <c r="A6" s="5" t="s">
        <v>5</v>
      </c>
      <c r="B6" s="3"/>
      <c r="C6" s="4" t="s">
        <v>6</v>
      </c>
      <c r="D6" s="4" t="s">
        <v>3</v>
      </c>
      <c r="E6" s="4" t="s">
        <v>7</v>
      </c>
      <c r="F6" s="4" t="s">
        <v>8</v>
      </c>
      <c r="G6" s="4" t="s">
        <v>9</v>
      </c>
      <c r="H6" s="4"/>
      <c r="I6" s="4" t="s">
        <v>10</v>
      </c>
      <c r="J6" s="4"/>
    </row>
    <row r="7" spans="1:10" x14ac:dyDescent="0.25">
      <c r="A7" s="6" t="s">
        <v>11</v>
      </c>
      <c r="B7" s="6" t="s">
        <v>12</v>
      </c>
      <c r="C7" s="7" t="s">
        <v>13</v>
      </c>
      <c r="D7" s="7" t="s">
        <v>13</v>
      </c>
      <c r="E7" s="7" t="s">
        <v>14</v>
      </c>
      <c r="F7" s="7" t="s">
        <v>13</v>
      </c>
      <c r="G7" s="7" t="s">
        <v>13</v>
      </c>
      <c r="H7" s="7" t="s">
        <v>15</v>
      </c>
      <c r="I7" s="7" t="s">
        <v>13</v>
      </c>
      <c r="J7" s="7" t="s">
        <v>16</v>
      </c>
    </row>
    <row r="8" spans="1:10" x14ac:dyDescent="0.25">
      <c r="A8" s="5"/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5">
        <v>503</v>
      </c>
      <c r="B9" s="8" t="s">
        <v>17</v>
      </c>
      <c r="C9" s="9">
        <f>20316292-6237631</f>
        <v>14078661</v>
      </c>
      <c r="D9" s="9">
        <v>1342669</v>
      </c>
      <c r="E9" s="9">
        <v>1875560</v>
      </c>
      <c r="F9" s="9">
        <v>1183219</v>
      </c>
      <c r="G9" s="9">
        <v>7733197</v>
      </c>
      <c r="H9" s="9">
        <v>16716497</v>
      </c>
      <c r="I9" s="9">
        <f>4174454-9256</f>
        <v>4165198</v>
      </c>
      <c r="J9" s="10">
        <f>SUM(C9:I9)</f>
        <v>47095001</v>
      </c>
    </row>
    <row r="10" spans="1:10" x14ac:dyDescent="0.25">
      <c r="A10" s="5">
        <v>508</v>
      </c>
      <c r="B10" s="8" t="s">
        <v>18</v>
      </c>
      <c r="C10" s="9">
        <f>134828704-11637706</f>
        <v>123190998</v>
      </c>
      <c r="D10" s="9">
        <v>1603285</v>
      </c>
      <c r="E10" s="9">
        <v>17728072</v>
      </c>
      <c r="F10" s="9">
        <v>3633249</v>
      </c>
      <c r="G10" s="9">
        <v>84341753</v>
      </c>
      <c r="H10" s="9">
        <v>105005156</v>
      </c>
      <c r="I10" s="9">
        <f>14979342-27704</f>
        <v>14951638</v>
      </c>
      <c r="J10" s="10">
        <f t="shared" ref="J10:J49" si="0">SUM(C10:I10)</f>
        <v>350454151</v>
      </c>
    </row>
    <row r="11" spans="1:10" x14ac:dyDescent="0.25">
      <c r="A11" s="5">
        <v>507</v>
      </c>
      <c r="B11" s="8" t="s">
        <v>19</v>
      </c>
      <c r="C11" s="9">
        <f>5216881-807007</f>
        <v>4409874</v>
      </c>
      <c r="D11" s="9">
        <f>631175-1077</f>
        <v>630098</v>
      </c>
      <c r="E11" s="9">
        <v>1116978</v>
      </c>
      <c r="F11" s="9">
        <v>321629</v>
      </c>
      <c r="G11" s="9">
        <v>5590168</v>
      </c>
      <c r="H11" s="9">
        <v>6976331</v>
      </c>
      <c r="I11" s="9">
        <f>1458514-100496</f>
        <v>1358018</v>
      </c>
      <c r="J11" s="10">
        <f t="shared" si="0"/>
        <v>20403096</v>
      </c>
    </row>
    <row r="12" spans="1:10" x14ac:dyDescent="0.25">
      <c r="A12" s="5">
        <v>502</v>
      </c>
      <c r="B12" s="8" t="s">
        <v>20</v>
      </c>
      <c r="C12" s="9">
        <f>108715095-25908354</f>
        <v>82806741</v>
      </c>
      <c r="D12" s="9">
        <v>1580291</v>
      </c>
      <c r="E12" s="9">
        <v>394500</v>
      </c>
      <c r="F12" s="9">
        <v>4803322</v>
      </c>
      <c r="G12" s="9">
        <f>49909059-2993</f>
        <v>49906066</v>
      </c>
      <c r="H12" s="9">
        <v>65289259</v>
      </c>
      <c r="I12" s="9">
        <v>7678847</v>
      </c>
      <c r="J12" s="10">
        <f t="shared" si="0"/>
        <v>212459026</v>
      </c>
    </row>
    <row r="13" spans="1:10" x14ac:dyDescent="0.25">
      <c r="A13" s="5">
        <v>509</v>
      </c>
      <c r="B13" s="8" t="s">
        <v>21</v>
      </c>
      <c r="C13" s="9">
        <f>110966240-13590311</f>
        <v>97375929</v>
      </c>
      <c r="D13" s="9">
        <v>29341</v>
      </c>
      <c r="E13" s="9">
        <v>3405104</v>
      </c>
      <c r="F13" s="9">
        <v>0</v>
      </c>
      <c r="G13" s="9">
        <f>17490965-778762</f>
        <v>16712203</v>
      </c>
      <c r="H13" s="9">
        <v>24240694</v>
      </c>
      <c r="I13" s="9">
        <v>8626385</v>
      </c>
      <c r="J13" s="10">
        <f t="shared" si="0"/>
        <v>150389656</v>
      </c>
    </row>
    <row r="14" spans="1:10" x14ac:dyDescent="0.25">
      <c r="A14" s="5">
        <v>512</v>
      </c>
      <c r="B14" s="8" t="s">
        <v>22</v>
      </c>
      <c r="C14" s="9">
        <f>75173461-18550875</f>
        <v>56622586</v>
      </c>
      <c r="D14" s="9">
        <f>23280873-22227628</f>
        <v>1053245</v>
      </c>
      <c r="E14" s="9">
        <v>2309947</v>
      </c>
      <c r="F14" s="9">
        <v>2122384</v>
      </c>
      <c r="G14" s="9">
        <v>15853252</v>
      </c>
      <c r="H14" s="9">
        <v>49634734</v>
      </c>
      <c r="I14" s="9">
        <f>4555145-32442</f>
        <v>4522703</v>
      </c>
      <c r="J14" s="10">
        <f t="shared" si="0"/>
        <v>132118851</v>
      </c>
    </row>
    <row r="15" spans="1:10" x14ac:dyDescent="0.25">
      <c r="A15" s="5">
        <v>540</v>
      </c>
      <c r="B15" s="8" t="s">
        <v>23</v>
      </c>
      <c r="C15" s="9">
        <f>22183167-7511305</f>
        <v>14671862</v>
      </c>
      <c r="D15" s="9">
        <v>13477100</v>
      </c>
      <c r="E15" s="9">
        <v>879957</v>
      </c>
      <c r="F15" s="9">
        <v>377519</v>
      </c>
      <c r="G15" s="9">
        <v>9921617</v>
      </c>
      <c r="H15" s="9">
        <v>16925575</v>
      </c>
      <c r="I15" s="9">
        <f>3729836-5506</f>
        <v>3724330</v>
      </c>
      <c r="J15" s="10">
        <f t="shared" si="0"/>
        <v>59977960</v>
      </c>
    </row>
    <row r="16" spans="1:10" x14ac:dyDescent="0.25">
      <c r="A16" s="5">
        <v>519</v>
      </c>
      <c r="B16" s="8" t="s">
        <v>24</v>
      </c>
      <c r="C16" s="9">
        <f>9098146-1372977</f>
        <v>7725169</v>
      </c>
      <c r="D16" s="9">
        <v>0</v>
      </c>
      <c r="E16" s="9">
        <v>638420</v>
      </c>
      <c r="F16" s="9">
        <v>62742</v>
      </c>
      <c r="G16" s="9">
        <v>4614963</v>
      </c>
      <c r="H16" s="9">
        <v>5787804</v>
      </c>
      <c r="I16" s="9">
        <f>5751157-711</f>
        <v>5750446</v>
      </c>
      <c r="J16" s="10">
        <f t="shared" si="0"/>
        <v>24579544</v>
      </c>
    </row>
    <row r="17" spans="1:10" x14ac:dyDescent="0.25">
      <c r="A17" s="5">
        <v>514</v>
      </c>
      <c r="B17" s="8" t="s">
        <v>25</v>
      </c>
      <c r="C17" s="9">
        <f>34534104-5361421</f>
        <v>29172683</v>
      </c>
      <c r="D17" s="9">
        <v>0</v>
      </c>
      <c r="E17" s="9">
        <v>1598245</v>
      </c>
      <c r="F17" s="9">
        <v>19112464</v>
      </c>
      <c r="G17" s="9">
        <v>15857786</v>
      </c>
      <c r="H17" s="9">
        <v>23667893</v>
      </c>
      <c r="I17" s="9">
        <f>19486310-10760239</f>
        <v>8726071</v>
      </c>
      <c r="J17" s="10">
        <f t="shared" si="0"/>
        <v>98135142</v>
      </c>
    </row>
    <row r="18" spans="1:10" x14ac:dyDescent="0.25">
      <c r="A18" s="5">
        <v>529</v>
      </c>
      <c r="B18" s="8" t="s">
        <v>26</v>
      </c>
      <c r="C18" s="9">
        <f>7363337-2499059</f>
        <v>4864278</v>
      </c>
      <c r="D18" s="9">
        <v>0</v>
      </c>
      <c r="E18" s="9">
        <v>4670577</v>
      </c>
      <c r="F18" s="9">
        <v>32035</v>
      </c>
      <c r="G18" s="9">
        <v>7180886</v>
      </c>
      <c r="H18" s="9">
        <v>13286841</v>
      </c>
      <c r="I18" s="9">
        <f>4137502-12404</f>
        <v>4125098</v>
      </c>
      <c r="J18" s="10">
        <f t="shared" si="0"/>
        <v>34159715</v>
      </c>
    </row>
    <row r="19" spans="1:10" x14ac:dyDescent="0.25">
      <c r="A19" s="5">
        <v>513</v>
      </c>
      <c r="B19" s="8" t="s">
        <v>27</v>
      </c>
      <c r="C19" s="9">
        <f>11122641-766417</f>
        <v>10356224</v>
      </c>
      <c r="D19" s="9">
        <v>1683527</v>
      </c>
      <c r="E19" s="9">
        <v>820329</v>
      </c>
      <c r="F19" s="9">
        <f>343359-337660</f>
        <v>5699</v>
      </c>
      <c r="G19" s="9">
        <v>5186832</v>
      </c>
      <c r="H19" s="9">
        <v>8376100</v>
      </c>
      <c r="I19" s="9">
        <f>2875907-1942</f>
        <v>2873965</v>
      </c>
      <c r="J19" s="10">
        <f t="shared" si="0"/>
        <v>29302676</v>
      </c>
    </row>
    <row r="20" spans="1:10" x14ac:dyDescent="0.25">
      <c r="A20" s="5">
        <v>525</v>
      </c>
      <c r="B20" s="8" t="s">
        <v>28</v>
      </c>
      <c r="C20" s="9">
        <f>55257145-6241417</f>
        <v>49015728</v>
      </c>
      <c r="D20" s="9">
        <v>1682297</v>
      </c>
      <c r="E20" s="9">
        <v>2729940</v>
      </c>
      <c r="F20" s="9">
        <v>1191911</v>
      </c>
      <c r="G20" s="9">
        <f>18303903-1642830</f>
        <v>16661073</v>
      </c>
      <c r="H20" s="9">
        <v>38066175</v>
      </c>
      <c r="I20" s="9">
        <v>22385618</v>
      </c>
      <c r="J20" s="10">
        <f t="shared" si="0"/>
        <v>131732742</v>
      </c>
    </row>
    <row r="21" spans="1:10" x14ac:dyDescent="0.25">
      <c r="A21" s="5">
        <v>520</v>
      </c>
      <c r="B21" s="8" t="s">
        <v>29</v>
      </c>
      <c r="C21" s="9">
        <f>10766328-2564455</f>
        <v>8201873</v>
      </c>
      <c r="D21" s="9">
        <v>0</v>
      </c>
      <c r="E21" s="9">
        <v>1532223</v>
      </c>
      <c r="F21" s="9">
        <v>0</v>
      </c>
      <c r="G21" s="9">
        <v>10767390</v>
      </c>
      <c r="H21" s="9">
        <v>10000445</v>
      </c>
      <c r="I21" s="9">
        <f>12602433-1827</f>
        <v>12600606</v>
      </c>
      <c r="J21" s="10">
        <f t="shared" si="0"/>
        <v>43102537</v>
      </c>
    </row>
    <row r="22" spans="1:10" x14ac:dyDescent="0.25">
      <c r="A22" s="5">
        <v>501</v>
      </c>
      <c r="B22" s="8" t="s">
        <v>30</v>
      </c>
      <c r="C22" s="9">
        <f>8758077-1914472</f>
        <v>6843605</v>
      </c>
      <c r="D22" s="9">
        <v>0</v>
      </c>
      <c r="E22" s="9">
        <v>3740226</v>
      </c>
      <c r="F22" s="9">
        <v>502046</v>
      </c>
      <c r="G22" s="9">
        <v>5527649</v>
      </c>
      <c r="H22" s="9">
        <f>14049359-250019</f>
        <v>13799340</v>
      </c>
      <c r="I22" s="9">
        <v>5407544</v>
      </c>
      <c r="J22" s="10">
        <f t="shared" si="0"/>
        <v>35820410</v>
      </c>
    </row>
    <row r="23" spans="1:10" x14ac:dyDescent="0.25">
      <c r="A23" s="5">
        <v>523</v>
      </c>
      <c r="B23" s="8" t="s">
        <v>31</v>
      </c>
      <c r="C23" s="9">
        <f>13379748-4328814</f>
        <v>9050934</v>
      </c>
      <c r="D23" s="9">
        <v>224241</v>
      </c>
      <c r="E23" s="9">
        <v>1554027</v>
      </c>
      <c r="F23" s="9">
        <v>774306</v>
      </c>
      <c r="G23" s="9">
        <v>10490379</v>
      </c>
      <c r="H23" s="9">
        <f>11413160-291307</f>
        <v>11121853</v>
      </c>
      <c r="I23" s="9">
        <v>6307659</v>
      </c>
      <c r="J23" s="10">
        <f t="shared" si="0"/>
        <v>39523399</v>
      </c>
    </row>
    <row r="24" spans="1:10" x14ac:dyDescent="0.25">
      <c r="A24" s="5">
        <v>532</v>
      </c>
      <c r="B24" s="8" t="s">
        <v>32</v>
      </c>
      <c r="C24" s="9">
        <f>66153206-1701854</f>
        <v>64451352</v>
      </c>
      <c r="D24" s="9">
        <v>815940</v>
      </c>
      <c r="E24" s="9">
        <v>4685583</v>
      </c>
      <c r="F24" s="9">
        <v>784499</v>
      </c>
      <c r="G24" s="9">
        <v>13867176</v>
      </c>
      <c r="H24" s="9">
        <v>33976744</v>
      </c>
      <c r="I24" s="9">
        <v>13310061</v>
      </c>
      <c r="J24" s="10">
        <f t="shared" si="0"/>
        <v>131891355</v>
      </c>
    </row>
    <row r="25" spans="1:10" x14ac:dyDescent="0.25">
      <c r="A25" s="5">
        <v>517</v>
      </c>
      <c r="B25" s="8" t="s">
        <v>33</v>
      </c>
      <c r="C25" s="9">
        <f>14229630-4319829</f>
        <v>9909801</v>
      </c>
      <c r="D25" s="9">
        <v>672316</v>
      </c>
      <c r="E25" s="9">
        <v>3184306</v>
      </c>
      <c r="F25" s="9">
        <v>18823690</v>
      </c>
      <c r="G25" s="9">
        <v>18823690</v>
      </c>
      <c r="H25" s="9">
        <v>13521353</v>
      </c>
      <c r="I25" s="9">
        <v>4527206</v>
      </c>
      <c r="J25" s="10">
        <f t="shared" si="0"/>
        <v>69462362</v>
      </c>
    </row>
    <row r="26" spans="1:10" x14ac:dyDescent="0.25">
      <c r="A26" s="5">
        <v>536</v>
      </c>
      <c r="B26" s="8" t="s">
        <v>34</v>
      </c>
      <c r="C26" s="9">
        <f>26472851-9720253</f>
        <v>16752598</v>
      </c>
      <c r="D26" s="9">
        <v>13099</v>
      </c>
      <c r="E26" s="9">
        <v>3605129</v>
      </c>
      <c r="F26" s="9">
        <v>1224255</v>
      </c>
      <c r="G26" s="9">
        <v>14543580</v>
      </c>
      <c r="H26" s="9">
        <v>12684144</v>
      </c>
      <c r="I26" s="9">
        <f>32176381-22150698</f>
        <v>10025683</v>
      </c>
      <c r="J26" s="10">
        <f t="shared" si="0"/>
        <v>58848488</v>
      </c>
    </row>
    <row r="27" spans="1:10" x14ac:dyDescent="0.25">
      <c r="A27" s="5">
        <v>526</v>
      </c>
      <c r="B27" s="8" t="s">
        <v>35</v>
      </c>
      <c r="C27" s="9">
        <f>30320012-3242209</f>
        <v>27077803</v>
      </c>
      <c r="D27" s="9">
        <v>0</v>
      </c>
      <c r="E27" s="9">
        <v>1208430</v>
      </c>
      <c r="F27" s="9">
        <v>778434</v>
      </c>
      <c r="G27" s="9">
        <v>15184464</v>
      </c>
      <c r="H27" s="9">
        <v>17082641</v>
      </c>
      <c r="I27" s="9">
        <v>17076264</v>
      </c>
      <c r="J27" s="10">
        <f t="shared" si="0"/>
        <v>78408036</v>
      </c>
    </row>
    <row r="28" spans="1:10" x14ac:dyDescent="0.25">
      <c r="A28" s="5">
        <v>530</v>
      </c>
      <c r="B28" s="8" t="s">
        <v>36</v>
      </c>
      <c r="C28" s="9">
        <f>11663934-2244299</f>
        <v>9419635</v>
      </c>
      <c r="D28" s="9">
        <v>0</v>
      </c>
      <c r="E28" s="9">
        <v>4241822</v>
      </c>
      <c r="F28" s="9">
        <v>1395877</v>
      </c>
      <c r="G28" s="9">
        <v>8828880</v>
      </c>
      <c r="H28" s="9">
        <v>13146957</v>
      </c>
      <c r="I28" s="9">
        <f>8626057--6927</f>
        <v>8632984</v>
      </c>
      <c r="J28" s="10">
        <f t="shared" si="0"/>
        <v>45666155</v>
      </c>
    </row>
    <row r="29" spans="1:10" x14ac:dyDescent="0.25">
      <c r="A29" s="5">
        <v>528</v>
      </c>
      <c r="B29" s="8" t="s">
        <v>37</v>
      </c>
      <c r="C29" s="9">
        <v>28182349</v>
      </c>
      <c r="D29" s="9">
        <v>949</v>
      </c>
      <c r="E29" s="9">
        <v>973240</v>
      </c>
      <c r="F29" s="9">
        <v>278874</v>
      </c>
      <c r="G29" s="9">
        <v>6102547</v>
      </c>
      <c r="H29" s="9">
        <v>13851851</v>
      </c>
      <c r="I29" s="9">
        <v>6223328</v>
      </c>
      <c r="J29" s="10">
        <f t="shared" si="0"/>
        <v>55613138</v>
      </c>
    </row>
    <row r="30" spans="1:10" x14ac:dyDescent="0.25">
      <c r="A30" s="5">
        <v>524</v>
      </c>
      <c r="B30" s="8" t="s">
        <v>38</v>
      </c>
      <c r="C30" s="9">
        <f>36123203-6470589</f>
        <v>29652614</v>
      </c>
      <c r="D30" s="9">
        <v>26205</v>
      </c>
      <c r="E30" s="9">
        <v>2202385</v>
      </c>
      <c r="F30" s="9">
        <v>851788</v>
      </c>
      <c r="G30" s="9">
        <v>20791251</v>
      </c>
      <c r="H30" s="9">
        <v>51043648</v>
      </c>
      <c r="I30" s="9">
        <v>13711916</v>
      </c>
      <c r="J30" s="10">
        <f t="shared" si="0"/>
        <v>118279807</v>
      </c>
    </row>
    <row r="31" spans="1:10" x14ac:dyDescent="0.25">
      <c r="A31" s="5">
        <v>527</v>
      </c>
      <c r="B31" s="8" t="s">
        <v>39</v>
      </c>
      <c r="C31" s="9">
        <f>3128821-439568</f>
        <v>2689253</v>
      </c>
      <c r="D31" s="9">
        <v>3300</v>
      </c>
      <c r="E31" s="9">
        <v>1949718</v>
      </c>
      <c r="F31" s="9">
        <v>13195562</v>
      </c>
      <c r="G31" s="9">
        <v>8852948</v>
      </c>
      <c r="H31" s="9">
        <v>9953275</v>
      </c>
      <c r="I31" s="9">
        <f>1747992-102</f>
        <v>1747890</v>
      </c>
      <c r="J31" s="10">
        <f t="shared" si="0"/>
        <v>38391946</v>
      </c>
    </row>
    <row r="32" spans="1:10" x14ac:dyDescent="0.25">
      <c r="A32" s="5">
        <v>535</v>
      </c>
      <c r="B32" s="8" t="s">
        <v>40</v>
      </c>
      <c r="C32" s="9">
        <f>49820258-3374530</f>
        <v>46445728</v>
      </c>
      <c r="D32" s="9">
        <v>883047</v>
      </c>
      <c r="E32" s="9">
        <v>1963051</v>
      </c>
      <c r="F32" s="9">
        <v>413417</v>
      </c>
      <c r="G32" s="9">
        <v>8554926</v>
      </c>
      <c r="H32" s="9">
        <v>22514904</v>
      </c>
      <c r="I32" s="9">
        <f>11500968-174</f>
        <v>11500794</v>
      </c>
      <c r="J32" s="10">
        <f t="shared" si="0"/>
        <v>92275867</v>
      </c>
    </row>
    <row r="33" spans="1:10" x14ac:dyDescent="0.25">
      <c r="A33" s="5">
        <v>505</v>
      </c>
      <c r="B33" s="8" t="s">
        <v>41</v>
      </c>
      <c r="C33" s="9">
        <f>26662588-4010173</f>
        <v>22652415</v>
      </c>
      <c r="D33" s="9">
        <f>2466304-21258</f>
        <v>2445046</v>
      </c>
      <c r="E33" s="9">
        <v>1333786</v>
      </c>
      <c r="F33" s="9">
        <v>2993326</v>
      </c>
      <c r="G33" s="9">
        <v>19784395</v>
      </c>
      <c r="H33" s="9">
        <v>29535336</v>
      </c>
      <c r="I33" s="9">
        <f>7232058-785959</f>
        <v>6446099</v>
      </c>
      <c r="J33" s="10">
        <f t="shared" si="0"/>
        <v>85190403</v>
      </c>
    </row>
    <row r="34" spans="1:10" x14ac:dyDescent="0.25">
      <c r="A34" s="5">
        <v>515</v>
      </c>
      <c r="B34" s="8" t="s">
        <v>42</v>
      </c>
      <c r="C34" s="9">
        <f>14181243-1685467</f>
        <v>12495776</v>
      </c>
      <c r="D34" s="9">
        <v>472415</v>
      </c>
      <c r="E34" s="9">
        <v>1635085</v>
      </c>
      <c r="F34" s="9">
        <v>617087</v>
      </c>
      <c r="G34" s="9">
        <v>10564202</v>
      </c>
      <c r="H34" s="9">
        <v>14675513</v>
      </c>
      <c r="I34" s="9">
        <v>11387136</v>
      </c>
      <c r="J34" s="10">
        <f t="shared" si="0"/>
        <v>51847214</v>
      </c>
    </row>
    <row r="35" spans="1:10" x14ac:dyDescent="0.25">
      <c r="A35" s="5">
        <v>521</v>
      </c>
      <c r="B35" s="8" t="s">
        <v>43</v>
      </c>
      <c r="C35" s="9">
        <f>4909391-1814550</f>
        <v>3094841</v>
      </c>
      <c r="D35" s="9">
        <v>420595</v>
      </c>
      <c r="E35" s="9">
        <v>3653608</v>
      </c>
      <c r="F35" s="9">
        <v>384340</v>
      </c>
      <c r="G35" s="9">
        <v>6283089</v>
      </c>
      <c r="H35" s="9">
        <v>8316033</v>
      </c>
      <c r="I35" s="9">
        <f>4574373-5460</f>
        <v>4568913</v>
      </c>
      <c r="J35" s="10">
        <f t="shared" si="0"/>
        <v>26721419</v>
      </c>
    </row>
    <row r="36" spans="1:10" x14ac:dyDescent="0.25">
      <c r="A36" s="5">
        <v>537</v>
      </c>
      <c r="B36" s="8" t="s">
        <v>44</v>
      </c>
      <c r="C36" s="9">
        <f>11329774-2403248</f>
        <v>8926526</v>
      </c>
      <c r="D36" s="9">
        <v>0</v>
      </c>
      <c r="E36" s="9">
        <v>559228</v>
      </c>
      <c r="F36" s="9">
        <v>566736</v>
      </c>
      <c r="G36" s="9">
        <v>7001322</v>
      </c>
      <c r="H36" s="9">
        <v>7031743</v>
      </c>
      <c r="I36" s="9">
        <f>3828889-630</f>
        <v>3828259</v>
      </c>
      <c r="J36" s="10">
        <f t="shared" si="0"/>
        <v>27913814</v>
      </c>
    </row>
    <row r="37" spans="1:10" x14ac:dyDescent="0.25">
      <c r="A37" s="5">
        <v>511</v>
      </c>
      <c r="B37" s="8" t="s">
        <v>45</v>
      </c>
      <c r="C37" s="9">
        <f>27005337-7696601</f>
        <v>19308736</v>
      </c>
      <c r="D37" s="9">
        <f>1043822-50000</f>
        <v>993822</v>
      </c>
      <c r="E37" s="9">
        <v>1671414</v>
      </c>
      <c r="F37" s="9">
        <v>874094</v>
      </c>
      <c r="G37" s="9">
        <f>-14137869-514194</f>
        <v>-14652063</v>
      </c>
      <c r="H37" s="9">
        <v>17457282</v>
      </c>
      <c r="I37" s="9">
        <v>4597026</v>
      </c>
      <c r="J37" s="10">
        <f t="shared" si="0"/>
        <v>30250311</v>
      </c>
    </row>
    <row r="38" spans="1:10" x14ac:dyDescent="0.25">
      <c r="A38" s="5">
        <v>518</v>
      </c>
      <c r="B38" s="8" t="s">
        <v>46</v>
      </c>
      <c r="C38" s="9">
        <f>10320572-3415060</f>
        <v>6905512</v>
      </c>
      <c r="D38" s="9">
        <v>0</v>
      </c>
      <c r="E38" s="9">
        <v>435353</v>
      </c>
      <c r="F38" s="9">
        <v>599319</v>
      </c>
      <c r="G38" s="9">
        <v>5067163</v>
      </c>
      <c r="H38" s="9">
        <v>6704756</v>
      </c>
      <c r="I38" s="9">
        <f>1071019-7875</f>
        <v>1063144</v>
      </c>
      <c r="J38" s="10">
        <f t="shared" si="0"/>
        <v>20775247</v>
      </c>
    </row>
    <row r="39" spans="1:10" x14ac:dyDescent="0.25">
      <c r="A39" s="5">
        <v>506</v>
      </c>
      <c r="B39" s="8" t="s">
        <v>47</v>
      </c>
      <c r="C39" s="9">
        <f>7227349-1115541</f>
        <v>6111808</v>
      </c>
      <c r="D39" s="9">
        <v>0</v>
      </c>
      <c r="E39" s="9">
        <v>465641</v>
      </c>
      <c r="F39" s="9">
        <v>155036</v>
      </c>
      <c r="G39" s="9">
        <v>4885591</v>
      </c>
      <c r="H39" s="9">
        <v>4848306</v>
      </c>
      <c r="I39" s="9">
        <f>2518912-1026</f>
        <v>2517886</v>
      </c>
      <c r="J39" s="10">
        <f t="shared" si="0"/>
        <v>18984268</v>
      </c>
    </row>
    <row r="40" spans="1:10" x14ac:dyDescent="0.25">
      <c r="A40" s="5">
        <v>531</v>
      </c>
      <c r="B40" s="8" t="s">
        <v>48</v>
      </c>
      <c r="C40" s="9">
        <f>4532679-1703513</f>
        <v>2829166</v>
      </c>
      <c r="D40" s="9">
        <v>483228</v>
      </c>
      <c r="E40" s="9">
        <v>2307732</v>
      </c>
      <c r="F40" s="9">
        <v>76465</v>
      </c>
      <c r="G40" s="9">
        <v>3836043</v>
      </c>
      <c r="H40" s="9">
        <v>4546444</v>
      </c>
      <c r="I40" s="9">
        <v>1406189</v>
      </c>
      <c r="J40" s="10">
        <f t="shared" si="0"/>
        <v>15485267</v>
      </c>
    </row>
    <row r="41" spans="1:10" x14ac:dyDescent="0.25">
      <c r="A41" s="5">
        <v>510</v>
      </c>
      <c r="B41" s="8" t="s">
        <v>49</v>
      </c>
      <c r="C41" s="9">
        <f>16524919-2337518</f>
        <v>14187401</v>
      </c>
      <c r="D41" s="9">
        <v>549710</v>
      </c>
      <c r="E41" s="9">
        <v>771018</v>
      </c>
      <c r="F41" s="9">
        <v>211846</v>
      </c>
      <c r="G41" s="9">
        <v>12673096</v>
      </c>
      <c r="H41" s="9">
        <v>13842386</v>
      </c>
      <c r="I41" s="9">
        <v>3220981</v>
      </c>
      <c r="J41" s="10">
        <f t="shared" si="0"/>
        <v>45456438</v>
      </c>
    </row>
    <row r="42" spans="1:10" x14ac:dyDescent="0.25">
      <c r="A42" s="5">
        <v>533</v>
      </c>
      <c r="B42" s="8" t="s">
        <v>50</v>
      </c>
      <c r="C42" s="9">
        <f>4089976-1191547</f>
        <v>2898429</v>
      </c>
      <c r="D42" s="9">
        <v>218810</v>
      </c>
      <c r="E42" s="9">
        <v>2071071</v>
      </c>
      <c r="F42" s="9">
        <v>253313</v>
      </c>
      <c r="G42" s="9">
        <v>3342552</v>
      </c>
      <c r="H42" s="9">
        <v>4521655</v>
      </c>
      <c r="I42" s="9">
        <f>5063830-45962</f>
        <v>5017868</v>
      </c>
      <c r="J42" s="10">
        <f t="shared" si="0"/>
        <v>18323698</v>
      </c>
    </row>
    <row r="43" spans="1:10" x14ac:dyDescent="0.25">
      <c r="A43" s="5">
        <v>522</v>
      </c>
      <c r="B43" s="8" t="s">
        <v>51</v>
      </c>
      <c r="C43" s="9">
        <f>29303138-4376965</f>
        <v>24926173</v>
      </c>
      <c r="D43" s="9">
        <v>3380826</v>
      </c>
      <c r="E43" s="9">
        <v>2483609</v>
      </c>
      <c r="F43" s="9">
        <v>904175</v>
      </c>
      <c r="G43" s="9">
        <v>17014095</v>
      </c>
      <c r="H43" s="9">
        <v>28649734</v>
      </c>
      <c r="I43" s="9">
        <v>11715223</v>
      </c>
      <c r="J43" s="10">
        <f t="shared" si="0"/>
        <v>89073835</v>
      </c>
    </row>
    <row r="44" spans="1:10" x14ac:dyDescent="0.25">
      <c r="A44" s="5">
        <v>534</v>
      </c>
      <c r="B44" s="8" t="s">
        <v>52</v>
      </c>
      <c r="C44" s="9">
        <f>5026856-1827708</f>
        <v>3199148</v>
      </c>
      <c r="D44" s="9">
        <v>785334</v>
      </c>
      <c r="E44" s="9">
        <v>472632</v>
      </c>
      <c r="F44" s="9">
        <v>78485</v>
      </c>
      <c r="G44" s="9">
        <v>3433145</v>
      </c>
      <c r="H44" s="9">
        <v>4919510</v>
      </c>
      <c r="I44" s="9">
        <f>2821417-196</f>
        <v>2821221</v>
      </c>
      <c r="J44" s="10">
        <f t="shared" si="0"/>
        <v>15709475</v>
      </c>
    </row>
    <row r="45" spans="1:10" x14ac:dyDescent="0.25">
      <c r="A45" s="5">
        <v>504</v>
      </c>
      <c r="B45" s="8" t="s">
        <v>53</v>
      </c>
      <c r="C45" s="9">
        <v>26734399</v>
      </c>
      <c r="D45" s="9">
        <v>277830</v>
      </c>
      <c r="E45" s="9">
        <v>1262019</v>
      </c>
      <c r="F45" s="9">
        <v>1921814</v>
      </c>
      <c r="G45" s="9">
        <v>13902028</v>
      </c>
      <c r="H45" s="9">
        <v>27849910</v>
      </c>
      <c r="I45" s="9">
        <v>2002162</v>
      </c>
      <c r="J45" s="10">
        <f t="shared" si="0"/>
        <v>73950162</v>
      </c>
    </row>
    <row r="46" spans="1:10" x14ac:dyDescent="0.25">
      <c r="A46" s="5">
        <v>516</v>
      </c>
      <c r="B46" s="8" t="s">
        <v>54</v>
      </c>
      <c r="C46" s="9">
        <f>47268226-7211037</f>
        <v>40057189</v>
      </c>
      <c r="D46" s="9">
        <v>789403</v>
      </c>
      <c r="E46" s="9">
        <v>1966084</v>
      </c>
      <c r="F46" s="9">
        <v>58868</v>
      </c>
      <c r="G46" s="9">
        <v>11193259</v>
      </c>
      <c r="H46" s="9">
        <v>21103357</v>
      </c>
      <c r="I46" s="9">
        <f>8359708-1318</f>
        <v>8358390</v>
      </c>
      <c r="J46" s="10">
        <f t="shared" si="0"/>
        <v>83526550</v>
      </c>
    </row>
    <row r="47" spans="1:10" x14ac:dyDescent="0.25">
      <c r="A47" s="6">
        <v>539</v>
      </c>
      <c r="B47" s="11" t="s">
        <v>55</v>
      </c>
      <c r="C47" s="12">
        <f>6209967-891307</f>
        <v>5318660</v>
      </c>
      <c r="D47" s="12">
        <v>177334</v>
      </c>
      <c r="E47" s="12">
        <v>413182</v>
      </c>
      <c r="F47" s="12">
        <v>77817</v>
      </c>
      <c r="G47" s="12">
        <v>5733491</v>
      </c>
      <c r="H47" s="12">
        <v>7275157</v>
      </c>
      <c r="I47" s="12">
        <f>2120297-0</f>
        <v>2120297</v>
      </c>
      <c r="J47" s="13">
        <f t="shared" si="0"/>
        <v>21115938</v>
      </c>
    </row>
    <row r="48" spans="1:10" x14ac:dyDescent="0.25">
      <c r="A48" s="8" t="s">
        <v>56</v>
      </c>
      <c r="B48" s="8" t="s">
        <v>56</v>
      </c>
      <c r="C48" s="10"/>
      <c r="D48" s="10"/>
      <c r="E48" s="10"/>
      <c r="F48" s="10"/>
      <c r="G48" s="10"/>
      <c r="H48" s="10"/>
      <c r="I48" s="10"/>
      <c r="J48" s="10"/>
    </row>
    <row r="49" spans="1:10" x14ac:dyDescent="0.25">
      <c r="A49" s="8" t="s">
        <v>56</v>
      </c>
      <c r="B49" s="8" t="s">
        <v>57</v>
      </c>
      <c r="C49" s="10">
        <f>SUM(C9:C47)</f>
        <v>952614457</v>
      </c>
      <c r="D49" s="10">
        <f t="shared" ref="D49:I49" si="1">SUM(D9:D47)</f>
        <v>36715303</v>
      </c>
      <c r="E49" s="10">
        <f t="shared" si="1"/>
        <v>90509231</v>
      </c>
      <c r="F49" s="10">
        <f t="shared" si="1"/>
        <v>81641642</v>
      </c>
      <c r="G49" s="10">
        <f t="shared" si="1"/>
        <v>491956084</v>
      </c>
      <c r="H49" s="10">
        <f t="shared" si="1"/>
        <v>797947336</v>
      </c>
      <c r="I49" s="10">
        <f t="shared" si="1"/>
        <v>271031046</v>
      </c>
      <c r="J49" s="10">
        <f>SUM(J9:J47)</f>
        <v>2722415099</v>
      </c>
    </row>
    <row r="50" spans="1:10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25.8" customHeight="1" x14ac:dyDescent="0.25">
      <c r="A51" s="14" t="s">
        <v>58</v>
      </c>
      <c r="B51" s="14"/>
      <c r="C51" s="14"/>
      <c r="D51" s="14"/>
      <c r="E51" s="14"/>
      <c r="F51" s="14"/>
      <c r="G51" s="14"/>
      <c r="H51" s="14"/>
      <c r="I51" s="14"/>
      <c r="J51" s="14"/>
    </row>
    <row r="52" spans="1:10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x14ac:dyDescent="0.25">
      <c r="A53" s="8" t="s">
        <v>59</v>
      </c>
      <c r="B53" s="8"/>
      <c r="C53" s="8"/>
      <c r="D53" s="8"/>
      <c r="E53" s="8"/>
      <c r="F53" s="8"/>
      <c r="G53" s="8"/>
      <c r="H53" s="8"/>
      <c r="I53" s="8"/>
      <c r="J53" s="8"/>
    </row>
  </sheetData>
  <mergeCells count="4">
    <mergeCell ref="A1:J1"/>
    <mergeCell ref="A2:J2"/>
    <mergeCell ref="A3:J3"/>
    <mergeCell ref="A51:J51"/>
  </mergeCells>
  <printOptions horizontalCentered="1"/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IV-14</vt:lpstr>
      <vt:lpstr>'IV-14'!Print_Area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dcterms:created xsi:type="dcterms:W3CDTF">2017-08-14T19:22:38Z</dcterms:created>
  <dcterms:modified xsi:type="dcterms:W3CDTF">2017-08-14T19:22:48Z</dcterms:modified>
</cp:coreProperties>
</file>